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\\pessoal\Central de Documentos\Licitações\2025\49- PREGÃO PRESENCIAL 004-2025- TRANSPORTE ESCOLAR (REMANESCENTE)\"/>
    </mc:Choice>
  </mc:AlternateContent>
  <xr:revisionPtr revIDLastSave="0" documentId="13_ncr:1_{05F98D0F-5843-4942-A20B-1C22BA9DE562}" xr6:coauthVersionLast="46" xr6:coauthVersionMax="47" xr10:uidLastSave="{00000000-0000-0000-0000-000000000000}"/>
  <bookViews>
    <workbookView xWindow="-120" yWindow="-120" windowWidth="21840" windowHeight="13020" activeTab="4" xr2:uid="{00000000-000D-0000-FFFF-FFFF00000000}"/>
  </bookViews>
  <sheets>
    <sheet name="Coxilha" sheetId="12" r:id="rId1"/>
    <sheet name="Fátima" sheetId="14" r:id="rId2"/>
    <sheet name="S.Miguel" sheetId="10" r:id="rId3"/>
    <sheet name="Cálculo de km ano" sheetId="15" r:id="rId4"/>
    <sheet name="Resumo " sheetId="8" r:id="rId5"/>
  </sheets>
  <calcPr calcId="191029"/>
</workbook>
</file>

<file path=xl/calcChain.xml><?xml version="1.0" encoding="utf-8"?>
<calcChain xmlns="http://schemas.openxmlformats.org/spreadsheetml/2006/main">
  <c r="G6" i="15" l="1"/>
  <c r="F6" i="15" s="1"/>
  <c r="E5" i="12" s="1"/>
  <c r="D6" i="8" s="1"/>
  <c r="G6" i="8" s="1"/>
  <c r="G7" i="15"/>
  <c r="F7" i="15" s="1"/>
  <c r="E5" i="14" s="1"/>
  <c r="D7" i="8" s="1"/>
  <c r="G7" i="8" s="1"/>
  <c r="G8" i="15"/>
  <c r="F8" i="15" s="1"/>
  <c r="E5" i="10" s="1"/>
  <c r="D8" i="8" s="1"/>
  <c r="G8" i="8" s="1"/>
  <c r="C8" i="15"/>
  <c r="B8" i="15"/>
  <c r="C7" i="15"/>
  <c r="B7" i="15"/>
  <c r="C6" i="15"/>
  <c r="B6" i="15"/>
  <c r="C8" i="8"/>
  <c r="C7" i="8"/>
  <c r="C6" i="8"/>
  <c r="B8" i="8"/>
  <c r="B7" i="8"/>
  <c r="B6" i="8"/>
  <c r="C17" i="12" l="1"/>
  <c r="F15" i="10"/>
  <c r="F15" i="14"/>
  <c r="F15" i="12"/>
  <c r="F44" i="14" l="1"/>
  <c r="F45" i="14" s="1"/>
  <c r="F34" i="14"/>
  <c r="F33" i="14"/>
  <c r="F31" i="14"/>
  <c r="F32" i="14" s="1"/>
  <c r="F30" i="14"/>
  <c r="C30" i="14"/>
  <c r="F24" i="14"/>
  <c r="C24" i="14"/>
  <c r="C26" i="14" s="1"/>
  <c r="F23" i="14"/>
  <c r="F21" i="14"/>
  <c r="F22" i="14" s="1"/>
  <c r="F20" i="14"/>
  <c r="C17" i="14"/>
  <c r="C19" i="14" s="1"/>
  <c r="F13" i="14"/>
  <c r="F14" i="14" s="1"/>
  <c r="F16" i="14" s="1"/>
  <c r="C13" i="14"/>
  <c r="F44" i="12"/>
  <c r="F45" i="12" s="1"/>
  <c r="F34" i="12"/>
  <c r="F33" i="12"/>
  <c r="F31" i="12"/>
  <c r="F32" i="12" s="1"/>
  <c r="F30" i="12"/>
  <c r="C30" i="12"/>
  <c r="F24" i="12"/>
  <c r="C24" i="12"/>
  <c r="C26" i="12" s="1"/>
  <c r="F23" i="12"/>
  <c r="F21" i="12"/>
  <c r="F22" i="12" s="1"/>
  <c r="F20" i="12"/>
  <c r="C19" i="12"/>
  <c r="F13" i="12"/>
  <c r="F14" i="12" s="1"/>
  <c r="F16" i="12" s="1"/>
  <c r="C13" i="12"/>
  <c r="F44" i="10"/>
  <c r="F45" i="10" s="1"/>
  <c r="F34" i="10"/>
  <c r="F33" i="10"/>
  <c r="F31" i="10"/>
  <c r="F32" i="10" s="1"/>
  <c r="F30" i="10"/>
  <c r="C30" i="10"/>
  <c r="F24" i="10"/>
  <c r="C24" i="10"/>
  <c r="C26" i="10" s="1"/>
  <c r="F23" i="10"/>
  <c r="F21" i="10"/>
  <c r="F22" i="10" s="1"/>
  <c r="F20" i="10"/>
  <c r="C17" i="10"/>
  <c r="C19" i="10" s="1"/>
  <c r="F13" i="10"/>
  <c r="F14" i="10" s="1"/>
  <c r="F16" i="10" s="1"/>
  <c r="C13" i="10"/>
  <c r="F35" i="10" l="1"/>
  <c r="F36" i="10" s="1"/>
  <c r="F35" i="12"/>
  <c r="F36" i="12" s="1"/>
  <c r="F35" i="14"/>
  <c r="F36" i="14" s="1"/>
  <c r="C47" i="14"/>
  <c r="F25" i="14"/>
  <c r="F26" i="14" s="1"/>
  <c r="F47" i="14" s="1"/>
  <c r="F25" i="12"/>
  <c r="F26" i="12" s="1"/>
  <c r="C47" i="10"/>
  <c r="C47" i="12"/>
  <c r="F25" i="10"/>
  <c r="F26" i="10" s="1"/>
  <c r="F47" i="10" l="1"/>
  <c r="F49" i="10" s="1"/>
  <c r="F49" i="14"/>
  <c r="F47" i="12"/>
  <c r="F49" i="12" s="1"/>
  <c r="F53" i="10" l="1"/>
  <c r="E8" i="8" s="1"/>
  <c r="F8" i="8" s="1"/>
  <c r="H8" i="8" s="1"/>
  <c r="F53" i="14"/>
  <c r="E7" i="8" s="1"/>
  <c r="F7" i="8" s="1"/>
  <c r="H7" i="8" s="1"/>
  <c r="F53" i="12"/>
  <c r="E6" i="8" s="1"/>
  <c r="F6" i="8" s="1"/>
  <c r="H6" i="8" s="1"/>
  <c r="F55" i="10" l="1"/>
  <c r="F55" i="14"/>
  <c r="F55" i="12"/>
  <c r="H9" i="8"/>
</calcChain>
</file>

<file path=xl/sharedStrings.xml><?xml version="1.0" encoding="utf-8"?>
<sst xmlns="http://schemas.openxmlformats.org/spreadsheetml/2006/main" count="215" uniqueCount="79">
  <si>
    <t>Capacidade (lugares) :</t>
  </si>
  <si>
    <t>Custos Variaveis</t>
  </si>
  <si>
    <t>Custos Fixos</t>
  </si>
  <si>
    <t>OLEO DIESEL</t>
  </si>
  <si>
    <t>CUSTOS DE CAPITAL E DEPRECIAÇÃO</t>
  </si>
  <si>
    <t>Média Consumida KM/Litro</t>
  </si>
  <si>
    <t>Valor da Depreciação anual %</t>
  </si>
  <si>
    <t>Custo Oleo Diesel por KM</t>
  </si>
  <si>
    <t>Valor da Depreciação anual R$</t>
  </si>
  <si>
    <t>Valor a Depreciar no mês</t>
  </si>
  <si>
    <t>OLEO LUBRIFICANTE</t>
  </si>
  <si>
    <t xml:space="preserve">Km média Percorida no Mês </t>
  </si>
  <si>
    <t>Preço do Litro Lubrificante</t>
  </si>
  <si>
    <t>Custo da Depreciação por KM</t>
  </si>
  <si>
    <t xml:space="preserve">Km Rodados com 1 Troca </t>
  </si>
  <si>
    <t>MOTORISTA</t>
  </si>
  <si>
    <t>Custo do Lubrificante por KM</t>
  </si>
  <si>
    <t xml:space="preserve">Motorista </t>
  </si>
  <si>
    <t>13º</t>
  </si>
  <si>
    <t>PNEUS DE RODAGEM</t>
  </si>
  <si>
    <t>Férias</t>
  </si>
  <si>
    <t>Preço do Pneu utilizado</t>
  </si>
  <si>
    <t>1/3 de Férias</t>
  </si>
  <si>
    <t>Qtd. Pneus Rodando</t>
  </si>
  <si>
    <t>FGTS</t>
  </si>
  <si>
    <t>Total na Troca - 6 Pneus</t>
  </si>
  <si>
    <t>INSS</t>
  </si>
  <si>
    <t>Vida util do Pneus em KM</t>
  </si>
  <si>
    <t>Custo Funcionário Mês</t>
  </si>
  <si>
    <t>Custo dos Pneus de rodagem Por KM</t>
  </si>
  <si>
    <t>Custo do Motorista por KM</t>
  </si>
  <si>
    <t>MANUTENÇÃO DO VEÍCULO</t>
  </si>
  <si>
    <t>MONITOR(A)</t>
  </si>
  <si>
    <t>Custo de Manutenção por mês</t>
  </si>
  <si>
    <t>Custo da Manutenção por KM</t>
  </si>
  <si>
    <t>Custo do Monitor(a) por KM</t>
  </si>
  <si>
    <t>IPVA - 1% sobre valor do veiculo</t>
  </si>
  <si>
    <t xml:space="preserve">Seguro Resp. Civil e Casco </t>
  </si>
  <si>
    <t>Laudos Detran/Inmetro</t>
  </si>
  <si>
    <t>Honorarios com Contador</t>
  </si>
  <si>
    <t>Totais dos custos</t>
  </si>
  <si>
    <t>Custo por Km</t>
  </si>
  <si>
    <t>Total dos Custos variaveis</t>
  </si>
  <si>
    <t>Total dos Custos Fixos</t>
  </si>
  <si>
    <t>Total dos Custos Variaveis + Custos Fixos</t>
  </si>
  <si>
    <t>Itinerário :</t>
  </si>
  <si>
    <t>Total na Troca - 12 Litros</t>
  </si>
  <si>
    <t xml:space="preserve">Preço do Litro Oleo Diesel </t>
  </si>
  <si>
    <t>Monitor</t>
  </si>
  <si>
    <t>Linha</t>
  </si>
  <si>
    <t>Trajeto</t>
  </si>
  <si>
    <t>Total</t>
  </si>
  <si>
    <t>Valor Veículo / Bem</t>
  </si>
  <si>
    <t>Km/mês</t>
  </si>
  <si>
    <t>Valor/Km</t>
  </si>
  <si>
    <t>Faturamento mensal</t>
  </si>
  <si>
    <t>Valor total no ano</t>
  </si>
  <si>
    <t>Total Km no ano</t>
  </si>
  <si>
    <t>Resumo das Linhas de Transporte Escolar</t>
  </si>
  <si>
    <t xml:space="preserve"> </t>
  </si>
  <si>
    <t>Linha Sbarain, Uru, São Miguel, Encruzilhada</t>
  </si>
  <si>
    <t>Linha 2</t>
  </si>
  <si>
    <t>Linha 3</t>
  </si>
  <si>
    <t>Quilometragem mensal :</t>
  </si>
  <si>
    <t>Valor Mesal (média)</t>
  </si>
  <si>
    <t>Item :</t>
  </si>
  <si>
    <t>Rastreador e câmeras</t>
  </si>
  <si>
    <t>Linha 1</t>
  </si>
  <si>
    <t>Linha Fontana, Majolo, Coxilha, Posse, Cidade</t>
  </si>
  <si>
    <t>Linha Fátima, Cidade</t>
  </si>
  <si>
    <t>Planilha de Composição de Custos - Transporte Escolar</t>
  </si>
  <si>
    <t>DEMAIS DESPESAS</t>
  </si>
  <si>
    <t>Total a Pagar por Quilômetro Rodado</t>
  </si>
  <si>
    <t>Margem de Lucro em Percentual (%)</t>
  </si>
  <si>
    <t>Cálculo de Distâncias</t>
  </si>
  <si>
    <t>Distância ida e volta</t>
  </si>
  <si>
    <t>Viagens por semana</t>
  </si>
  <si>
    <t>Km por mês</t>
  </si>
  <si>
    <t>Km por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</si>
</sst>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164" formatCode="_-* #,##0.00_-;\-* #,##0.00_-;_-* \-??_-;_-@_-"/>
    <numFmt numFmtId="165" formatCode="_-* #,##0_-;\-* #,##0_-;_-* \-??_-;_-@_-"/>
    <numFmt numFmtId="166" formatCode="_-* #,##0.0000_-;\-* #,##0.0000_-;_-* \-??_-;_-@_-"/>
    <numFmt numFmtId="167" formatCode="_-* #,##0.0000_-;\-* #,##0.0000_-;_-* \-????_-;_-@_-"/>
    <numFmt numFmtId="168" formatCode="_ * #,##0.00_ ;_ * \-#,##0.00_ ;_ * \-????_ ;_ @_ "/>
    <numFmt numFmtId="169" formatCode="_-* #,##0.0_-;\-* #,##0.0_-;_-* \-??_-;_-@_-"/>
  </numFmts>
  <fonts count="18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8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trike/>
      <sz val="10"/>
      <name val="Calibri"/>
      <family val="2"/>
    </font>
    <font>
      <b/>
      <strike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4" fontId="9" fillId="0" borderId="0" applyFont="0" applyFill="0" applyBorder="0" applyProtection="0"/>
    <xf numFmtId="9" fontId="9" fillId="0" borderId="0" applyFont="0" applyFill="0" applyBorder="0" applyProtection="0"/>
    <xf numFmtId="164" fontId="9" fillId="0" borderId="0" applyBorder="0" applyProtection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44" fontId="3" fillId="0" borderId="1" xfId="1" applyFont="1" applyBorder="1" applyAlignment="1" applyProtection="1">
      <alignment vertical="center"/>
    </xf>
    <xf numFmtId="44" fontId="3" fillId="0" borderId="0" xfId="1" applyFont="1" applyAlignment="1" applyProtection="1">
      <alignment vertical="center"/>
    </xf>
    <xf numFmtId="165" fontId="2" fillId="0" borderId="1" xfId="3" applyNumberFormat="1" applyFont="1" applyBorder="1" applyAlignment="1" applyProtection="1">
      <alignment vertical="center"/>
    </xf>
    <xf numFmtId="165" fontId="2" fillId="0" borderId="0" xfId="3" applyNumberFormat="1" applyFont="1" applyAlignment="1" applyProtection="1">
      <alignment vertical="center"/>
    </xf>
    <xf numFmtId="164" fontId="2" fillId="0" borderId="1" xfId="3" applyFont="1" applyBorder="1" applyAlignment="1" applyProtection="1">
      <alignment vertical="center"/>
    </xf>
    <xf numFmtId="0" fontId="7" fillId="0" borderId="1" xfId="0" applyFont="1" applyBorder="1" applyAlignment="1">
      <alignment vertical="center"/>
    </xf>
    <xf numFmtId="44" fontId="7" fillId="0" borderId="1" xfId="1" applyFont="1" applyBorder="1" applyAlignment="1" applyProtection="1">
      <alignment vertical="center"/>
    </xf>
    <xf numFmtId="44" fontId="7" fillId="0" borderId="0" xfId="1" applyFont="1" applyAlignment="1" applyProtection="1">
      <alignment vertical="center"/>
    </xf>
    <xf numFmtId="0" fontId="7" fillId="0" borderId="0" xfId="0" applyFont="1" applyAlignment="1">
      <alignment vertical="center"/>
    </xf>
    <xf numFmtId="166" fontId="7" fillId="0" borderId="0" xfId="3" applyNumberFormat="1" applyFont="1" applyAlignment="1" applyProtection="1">
      <alignment vertical="center"/>
    </xf>
    <xf numFmtId="164" fontId="2" fillId="0" borderId="0" xfId="3" applyFont="1" applyAlignment="1" applyProtection="1">
      <alignment vertical="center"/>
    </xf>
    <xf numFmtId="44" fontId="7" fillId="0" borderId="0" xfId="1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center"/>
    </xf>
    <xf numFmtId="167" fontId="8" fillId="0" borderId="4" xfId="0" applyNumberFormat="1" applyFont="1" applyBorder="1" applyAlignment="1">
      <alignment vertical="center"/>
    </xf>
    <xf numFmtId="167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165" fontId="7" fillId="0" borderId="0" xfId="3" applyNumberFormat="1" applyFont="1" applyAlignment="1" applyProtection="1">
      <alignment vertical="center"/>
    </xf>
    <xf numFmtId="167" fontId="8" fillId="0" borderId="1" xfId="0" applyNumberFormat="1" applyFont="1" applyBorder="1" applyAlignment="1">
      <alignment vertical="center"/>
    </xf>
    <xf numFmtId="9" fontId="8" fillId="0" borderId="1" xfId="2" applyFont="1" applyBorder="1" applyAlignment="1" applyProtection="1">
      <alignment vertical="center"/>
    </xf>
    <xf numFmtId="169" fontId="2" fillId="0" borderId="1" xfId="3" applyNumberFormat="1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3" fillId="0" borderId="7" xfId="0" applyFont="1" applyBorder="1"/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64" fontId="14" fillId="0" borderId="7" xfId="3" applyFont="1" applyBorder="1"/>
    <xf numFmtId="44" fontId="1" fillId="0" borderId="7" xfId="3" applyNumberFormat="1" applyFont="1" applyBorder="1"/>
    <xf numFmtId="44" fontId="0" fillId="0" borderId="5" xfId="0" applyNumberFormat="1" applyBorder="1"/>
    <xf numFmtId="44" fontId="15" fillId="0" borderId="5" xfId="0" applyNumberFormat="1" applyFont="1" applyBorder="1"/>
    <xf numFmtId="0" fontId="14" fillId="0" borderId="6" xfId="0" applyFont="1" applyBorder="1" applyAlignment="1">
      <alignment horizontal="center"/>
    </xf>
    <xf numFmtId="44" fontId="15" fillId="4" borderId="1" xfId="3" applyNumberFormat="1" applyFont="1" applyFill="1" applyBorder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68" fontId="6" fillId="0" borderId="1" xfId="0" applyNumberFormat="1" applyFont="1" applyBorder="1" applyAlignment="1">
      <alignment vertical="center"/>
    </xf>
    <xf numFmtId="3" fontId="13" fillId="0" borderId="7" xfId="0" applyNumberFormat="1" applyFont="1" applyBorder="1" applyAlignment="1">
      <alignment horizontal="center"/>
    </xf>
    <xf numFmtId="0" fontId="16" fillId="0" borderId="1" xfId="0" applyFont="1" applyBorder="1" applyAlignment="1">
      <alignment vertical="center"/>
    </xf>
    <xf numFmtId="44" fontId="16" fillId="0" borderId="1" xfId="1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4" fontId="17" fillId="0" borderId="1" xfId="1" applyFont="1" applyBorder="1" applyAlignment="1">
      <alignment vertical="center"/>
    </xf>
    <xf numFmtId="44" fontId="16" fillId="0" borderId="1" xfId="1" applyFont="1" applyBorder="1" applyAlignment="1" applyProtection="1">
      <alignment vertical="center"/>
    </xf>
    <xf numFmtId="3" fontId="0" fillId="0" borderId="7" xfId="0" applyNumberForma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/>
    </xf>
    <xf numFmtId="3" fontId="14" fillId="0" borderId="7" xfId="3" applyNumberFormat="1" applyFont="1" applyBorder="1" applyAlignment="1">
      <alignment horizontal="center" vertical="center"/>
    </xf>
    <xf numFmtId="3" fontId="1" fillId="0" borderId="7" xfId="3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4" fillId="0" borderId="11" xfId="0" applyFont="1" applyBorder="1" applyAlignment="1">
      <alignment horizontal="right"/>
    </xf>
    <xf numFmtId="0" fontId="14" fillId="0" borderId="10" xfId="0" applyFont="1" applyBorder="1" applyAlignment="1">
      <alignment horizontal="right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C7250-F4DB-4BF5-B2DE-C275E0E36A66}">
  <dimension ref="B1:AMM55"/>
  <sheetViews>
    <sheetView workbookViewId="0">
      <selection activeCell="E6" sqref="E6:F6"/>
    </sheetView>
  </sheetViews>
  <sheetFormatPr defaultColWidth="9.140625" defaultRowHeight="15" x14ac:dyDescent="0.25"/>
  <cols>
    <col min="1" max="1" width="4" style="1" customWidth="1"/>
    <col min="2" max="2" width="30.42578125" style="2" customWidth="1"/>
    <col min="3" max="3" width="12.85546875" style="2" bestFit="1" customWidth="1"/>
    <col min="4" max="4" width="2.7109375" style="2" customWidth="1"/>
    <col min="5" max="5" width="32.85546875" style="2" customWidth="1"/>
    <col min="6" max="6" width="13.5703125" style="2" bestFit="1" customWidth="1"/>
    <col min="7" max="1027" width="9.140625" style="2" customWidth="1"/>
    <col min="1028" max="16384" width="9.140625" style="1"/>
  </cols>
  <sheetData>
    <row r="1" spans="2:6" ht="23.25" x14ac:dyDescent="0.25">
      <c r="B1" s="61" t="s">
        <v>70</v>
      </c>
      <c r="C1" s="61"/>
      <c r="D1" s="61"/>
      <c r="E1" s="61"/>
      <c r="F1" s="61"/>
    </row>
    <row r="2" spans="2:6" ht="12" customHeight="1" x14ac:dyDescent="0.25">
      <c r="B2" s="62"/>
      <c r="C2" s="63"/>
      <c r="D2" s="63"/>
      <c r="E2" s="63"/>
      <c r="F2" s="64"/>
    </row>
    <row r="3" spans="2:6" ht="18.75" x14ac:dyDescent="0.25">
      <c r="B3" s="65" t="s">
        <v>0</v>
      </c>
      <c r="C3" s="66"/>
      <c r="D3" s="67"/>
      <c r="E3" s="68">
        <v>25</v>
      </c>
      <c r="F3" s="69"/>
    </row>
    <row r="4" spans="2:6" ht="18.75" x14ac:dyDescent="0.25">
      <c r="B4" s="65" t="s">
        <v>45</v>
      </c>
      <c r="C4" s="66"/>
      <c r="D4" s="67"/>
      <c r="E4" s="70" t="s">
        <v>68</v>
      </c>
      <c r="F4" s="71"/>
    </row>
    <row r="5" spans="2:6" ht="18.75" x14ac:dyDescent="0.25">
      <c r="B5" s="65" t="s">
        <v>63</v>
      </c>
      <c r="C5" s="66"/>
      <c r="D5" s="67"/>
      <c r="E5" s="68">
        <f>'Cálculo de km ano'!F6</f>
        <v>1120</v>
      </c>
      <c r="F5" s="69"/>
    </row>
    <row r="6" spans="2:6" ht="18" customHeight="1" x14ac:dyDescent="0.25">
      <c r="B6" s="72" t="s">
        <v>65</v>
      </c>
      <c r="C6" s="72"/>
      <c r="D6" s="72"/>
      <c r="E6" s="73" t="s">
        <v>67</v>
      </c>
      <c r="F6" s="73"/>
    </row>
    <row r="7" spans="2:6" ht="12" customHeight="1" x14ac:dyDescent="0.25">
      <c r="B7" s="74"/>
      <c r="C7" s="74"/>
      <c r="D7" s="74"/>
      <c r="E7" s="74"/>
      <c r="F7" s="74"/>
    </row>
    <row r="8" spans="2:6" ht="15.75" x14ac:dyDescent="0.25">
      <c r="B8" s="60" t="s">
        <v>1</v>
      </c>
      <c r="C8" s="60"/>
      <c r="D8" s="3"/>
      <c r="E8" s="60" t="s">
        <v>2</v>
      </c>
      <c r="F8" s="60"/>
    </row>
    <row r="9" spans="2:6" ht="15.75" x14ac:dyDescent="0.25">
      <c r="B9" s="59"/>
      <c r="C9" s="59"/>
      <c r="D9" s="59"/>
      <c r="E9" s="59"/>
      <c r="F9" s="59"/>
    </row>
    <row r="10" spans="2:6" x14ac:dyDescent="0.25">
      <c r="B10" s="57" t="s">
        <v>3</v>
      </c>
      <c r="C10" s="57"/>
      <c r="D10" s="4"/>
      <c r="E10" s="57" t="s">
        <v>4</v>
      </c>
      <c r="F10" s="57"/>
    </row>
    <row r="11" spans="2:6" x14ac:dyDescent="0.25">
      <c r="B11" s="5" t="s">
        <v>47</v>
      </c>
      <c r="C11" s="6">
        <v>6.39</v>
      </c>
      <c r="D11" s="7"/>
      <c r="E11" s="5" t="s">
        <v>52</v>
      </c>
      <c r="F11" s="6">
        <v>150000</v>
      </c>
    </row>
    <row r="12" spans="2:6" x14ac:dyDescent="0.25">
      <c r="B12" s="5" t="s">
        <v>5</v>
      </c>
      <c r="C12" s="27">
        <v>6</v>
      </c>
      <c r="D12" s="9"/>
      <c r="E12" s="5" t="s">
        <v>6</v>
      </c>
      <c r="F12" s="10">
        <v>4</v>
      </c>
    </row>
    <row r="13" spans="2:6" x14ac:dyDescent="0.25">
      <c r="B13" s="11" t="s">
        <v>7</v>
      </c>
      <c r="C13" s="12">
        <f>C11/C12</f>
        <v>1.0649999999999999</v>
      </c>
      <c r="D13" s="13"/>
      <c r="E13" s="5" t="s">
        <v>8</v>
      </c>
      <c r="F13" s="6">
        <f>F11/100*F12</f>
        <v>6000</v>
      </c>
    </row>
    <row r="14" spans="2:6" x14ac:dyDescent="0.25">
      <c r="B14" s="14"/>
      <c r="C14" s="15"/>
      <c r="D14" s="15"/>
      <c r="E14" s="5" t="s">
        <v>9</v>
      </c>
      <c r="F14" s="6">
        <f>F13/12</f>
        <v>500</v>
      </c>
    </row>
    <row r="15" spans="2:6" x14ac:dyDescent="0.25">
      <c r="B15" s="57" t="s">
        <v>10</v>
      </c>
      <c r="C15" s="57"/>
      <c r="D15" s="4"/>
      <c r="E15" s="5" t="s">
        <v>11</v>
      </c>
      <c r="F15" s="8">
        <f>E5</f>
        <v>1120</v>
      </c>
    </row>
    <row r="16" spans="2:6" x14ac:dyDescent="0.25">
      <c r="B16" s="5" t="s">
        <v>12</v>
      </c>
      <c r="C16" s="6">
        <v>35</v>
      </c>
      <c r="D16" s="7"/>
      <c r="E16" s="11" t="s">
        <v>13</v>
      </c>
      <c r="F16" s="12">
        <f>F14/F15</f>
        <v>0.44642857142857145</v>
      </c>
    </row>
    <row r="17" spans="2:6" x14ac:dyDescent="0.25">
      <c r="B17" s="5" t="s">
        <v>46</v>
      </c>
      <c r="C17" s="6">
        <f>C16*12</f>
        <v>420</v>
      </c>
      <c r="D17" s="7"/>
    </row>
    <row r="18" spans="2:6" x14ac:dyDescent="0.25">
      <c r="B18" s="5" t="s">
        <v>14</v>
      </c>
      <c r="C18" s="8">
        <v>10000</v>
      </c>
      <c r="D18" s="16"/>
      <c r="E18" s="57" t="s">
        <v>15</v>
      </c>
      <c r="F18" s="57"/>
    </row>
    <row r="19" spans="2:6" x14ac:dyDescent="0.25">
      <c r="B19" s="11" t="s">
        <v>16</v>
      </c>
      <c r="C19" s="12">
        <f>C17/C18</f>
        <v>4.2000000000000003E-2</v>
      </c>
      <c r="D19" s="13"/>
      <c r="E19" s="5" t="s">
        <v>17</v>
      </c>
      <c r="F19" s="6">
        <v>2094.65</v>
      </c>
    </row>
    <row r="20" spans="2:6" x14ac:dyDescent="0.25">
      <c r="E20" s="5" t="s">
        <v>18</v>
      </c>
      <c r="F20" s="6">
        <f>F19/12</f>
        <v>174.55416666666667</v>
      </c>
    </row>
    <row r="21" spans="2:6" x14ac:dyDescent="0.25">
      <c r="B21" s="57" t="s">
        <v>19</v>
      </c>
      <c r="C21" s="57"/>
      <c r="D21" s="4"/>
      <c r="E21" s="5" t="s">
        <v>20</v>
      </c>
      <c r="F21" s="6">
        <f>F19/12</f>
        <v>174.55416666666667</v>
      </c>
    </row>
    <row r="22" spans="2:6" x14ac:dyDescent="0.25">
      <c r="B22" s="5" t="s">
        <v>21</v>
      </c>
      <c r="C22" s="6">
        <v>1100</v>
      </c>
      <c r="D22" s="7"/>
      <c r="E22" s="5" t="s">
        <v>22</v>
      </c>
      <c r="F22" s="6">
        <f>F21/3</f>
        <v>58.184722222222227</v>
      </c>
    </row>
    <row r="23" spans="2:6" x14ac:dyDescent="0.25">
      <c r="B23" s="5" t="s">
        <v>23</v>
      </c>
      <c r="C23" s="10">
        <v>6</v>
      </c>
      <c r="D23" s="16"/>
      <c r="E23" s="5" t="s">
        <v>24</v>
      </c>
      <c r="F23" s="6">
        <f>F19*0.08</f>
        <v>167.572</v>
      </c>
    </row>
    <row r="24" spans="2:6" x14ac:dyDescent="0.25">
      <c r="B24" s="5" t="s">
        <v>25</v>
      </c>
      <c r="C24" s="6">
        <f>C22*C23</f>
        <v>6600</v>
      </c>
      <c r="D24" s="7"/>
      <c r="E24" s="5" t="s">
        <v>26</v>
      </c>
      <c r="F24" s="6">
        <f>F19*0.21</f>
        <v>439.87650000000002</v>
      </c>
    </row>
    <row r="25" spans="2:6" x14ac:dyDescent="0.25">
      <c r="B25" s="5" t="s">
        <v>27</v>
      </c>
      <c r="C25" s="8">
        <v>30000</v>
      </c>
      <c r="D25" s="9"/>
      <c r="E25" s="5" t="s">
        <v>28</v>
      </c>
      <c r="F25" s="6">
        <f>F19+F20+F21+F22+F23+F24</f>
        <v>3109.3915555555559</v>
      </c>
    </row>
    <row r="26" spans="2:6" x14ac:dyDescent="0.25">
      <c r="B26" s="11" t="s">
        <v>29</v>
      </c>
      <c r="C26" s="12">
        <f>C24/C25</f>
        <v>0.22</v>
      </c>
      <c r="D26" s="13"/>
      <c r="E26" s="11" t="s">
        <v>30</v>
      </c>
      <c r="F26" s="12">
        <f>F25/F15</f>
        <v>2.7762424603174605</v>
      </c>
    </row>
    <row r="28" spans="2:6" x14ac:dyDescent="0.25">
      <c r="B28" s="57" t="s">
        <v>31</v>
      </c>
      <c r="C28" s="57"/>
      <c r="D28" s="4"/>
      <c r="E28" s="58" t="s">
        <v>32</v>
      </c>
      <c r="F28" s="58"/>
    </row>
    <row r="29" spans="2:6" x14ac:dyDescent="0.25">
      <c r="B29" s="5" t="s">
        <v>33</v>
      </c>
      <c r="C29" s="6">
        <v>500</v>
      </c>
      <c r="D29" s="7"/>
      <c r="E29" s="45" t="s">
        <v>48</v>
      </c>
      <c r="F29" s="46">
        <v>0</v>
      </c>
    </row>
    <row r="30" spans="2:6" x14ac:dyDescent="0.25">
      <c r="B30" s="11" t="s">
        <v>34</v>
      </c>
      <c r="C30" s="12">
        <f>C29/F15</f>
        <v>0.44642857142857145</v>
      </c>
      <c r="D30" s="13"/>
      <c r="E30" s="45" t="s">
        <v>18</v>
      </c>
      <c r="F30" s="46">
        <f>F29/12</f>
        <v>0</v>
      </c>
    </row>
    <row r="31" spans="2:6" x14ac:dyDescent="0.25">
      <c r="B31" s="14"/>
      <c r="C31" s="15"/>
      <c r="D31" s="15"/>
      <c r="E31" s="45" t="s">
        <v>20</v>
      </c>
      <c r="F31" s="46">
        <f>F29/12</f>
        <v>0</v>
      </c>
    </row>
    <row r="32" spans="2:6" x14ac:dyDescent="0.25">
      <c r="B32" s="14"/>
      <c r="C32" s="15"/>
      <c r="D32" s="15"/>
      <c r="E32" s="45" t="s">
        <v>22</v>
      </c>
      <c r="F32" s="46">
        <f>F31/3</f>
        <v>0</v>
      </c>
    </row>
    <row r="33" spans="2:6" x14ac:dyDescent="0.25">
      <c r="B33" s="14"/>
      <c r="C33" s="15"/>
      <c r="D33" s="15"/>
      <c r="E33" s="45" t="s">
        <v>24</v>
      </c>
      <c r="F33" s="46">
        <f>F29*0.08</f>
        <v>0</v>
      </c>
    </row>
    <row r="34" spans="2:6" x14ac:dyDescent="0.25">
      <c r="B34" s="14"/>
      <c r="C34" s="15"/>
      <c r="D34" s="15"/>
      <c r="E34" s="45" t="s">
        <v>26</v>
      </c>
      <c r="F34" s="46">
        <f>F29*0.2</f>
        <v>0</v>
      </c>
    </row>
    <row r="35" spans="2:6" x14ac:dyDescent="0.25">
      <c r="B35" s="14"/>
      <c r="C35" s="15"/>
      <c r="D35" s="15"/>
      <c r="E35" s="45" t="s">
        <v>28</v>
      </c>
      <c r="F35" s="46">
        <f>SUM(F29:F34)</f>
        <v>0</v>
      </c>
    </row>
    <row r="36" spans="2:6" x14ac:dyDescent="0.25">
      <c r="B36" s="14"/>
      <c r="C36" s="15"/>
      <c r="D36" s="15"/>
      <c r="E36" s="47" t="s">
        <v>35</v>
      </c>
      <c r="F36" s="48">
        <f>F35/F15</f>
        <v>0</v>
      </c>
    </row>
    <row r="37" spans="2:6" x14ac:dyDescent="0.25">
      <c r="B37" s="14"/>
      <c r="C37" s="15"/>
      <c r="D37" s="15"/>
      <c r="E37" s="14"/>
      <c r="F37" s="17"/>
    </row>
    <row r="38" spans="2:6" x14ac:dyDescent="0.25">
      <c r="B38" s="14"/>
      <c r="C38" s="15"/>
      <c r="D38" s="15"/>
      <c r="E38" s="57" t="s">
        <v>71</v>
      </c>
      <c r="F38" s="57"/>
    </row>
    <row r="39" spans="2:6" x14ac:dyDescent="0.25">
      <c r="B39" s="14"/>
      <c r="C39" s="18"/>
      <c r="D39" s="18"/>
      <c r="E39" s="45" t="s">
        <v>36</v>
      </c>
      <c r="F39" s="49">
        <v>0</v>
      </c>
    </row>
    <row r="40" spans="2:6" x14ac:dyDescent="0.25">
      <c r="E40" s="5" t="s">
        <v>37</v>
      </c>
      <c r="F40" s="6">
        <v>300</v>
      </c>
    </row>
    <row r="41" spans="2:6" x14ac:dyDescent="0.25">
      <c r="E41" s="5" t="s">
        <v>38</v>
      </c>
      <c r="F41" s="6">
        <v>40</v>
      </c>
    </row>
    <row r="42" spans="2:6" s="2" customFormat="1" ht="12.75" x14ac:dyDescent="0.25">
      <c r="E42" s="5" t="s">
        <v>66</v>
      </c>
      <c r="F42" s="6">
        <v>285</v>
      </c>
    </row>
    <row r="43" spans="2:6" s="2" customFormat="1" ht="12.75" x14ac:dyDescent="0.25">
      <c r="E43" s="5" t="s">
        <v>39</v>
      </c>
      <c r="F43" s="6">
        <v>150</v>
      </c>
    </row>
    <row r="44" spans="2:6" s="2" customFormat="1" ht="12.75" x14ac:dyDescent="0.25">
      <c r="E44" s="5" t="s">
        <v>40</v>
      </c>
      <c r="F44" s="6">
        <f>SUM(F39:F43)</f>
        <v>775</v>
      </c>
    </row>
    <row r="45" spans="2:6" s="2" customFormat="1" ht="12.75" x14ac:dyDescent="0.25">
      <c r="E45" s="11" t="s">
        <v>41</v>
      </c>
      <c r="F45" s="12">
        <f>F44/F15</f>
        <v>0.6919642857142857</v>
      </c>
    </row>
    <row r="46" spans="2:6" s="2" customFormat="1" ht="12.75" x14ac:dyDescent="0.25">
      <c r="E46" s="14"/>
      <c r="F46" s="13"/>
    </row>
    <row r="47" spans="2:6" s="2" customFormat="1" x14ac:dyDescent="0.25">
      <c r="B47" s="19" t="s">
        <v>42</v>
      </c>
      <c r="C47" s="20">
        <f>C26+C19+C13+C30</f>
        <v>1.7734285714285714</v>
      </c>
      <c r="D47" s="21"/>
      <c r="E47" s="19" t="s">
        <v>43</v>
      </c>
      <c r="F47" s="20">
        <f>F45+F26+F16+F36</f>
        <v>3.9146353174603177</v>
      </c>
    </row>
    <row r="48" spans="2:6" s="2" customFormat="1" ht="12" customHeight="1" x14ac:dyDescent="0.25">
      <c r="B48" s="22"/>
      <c r="C48" s="21"/>
      <c r="D48" s="21"/>
      <c r="E48" s="22"/>
      <c r="F48" s="21"/>
    </row>
    <row r="49" spans="2:6" s="2" customFormat="1" x14ac:dyDescent="0.25">
      <c r="B49" s="19" t="s">
        <v>44</v>
      </c>
      <c r="C49" s="23"/>
      <c r="D49" s="23"/>
      <c r="E49" s="23"/>
      <c r="F49" s="25">
        <f>F47+C47</f>
        <v>5.6880638888888893</v>
      </c>
    </row>
    <row r="50" spans="2:6" s="2" customFormat="1" ht="12" customHeight="1" x14ac:dyDescent="0.25">
      <c r="B50" s="22"/>
      <c r="C50" s="22"/>
      <c r="D50" s="22"/>
      <c r="E50" s="22"/>
      <c r="F50" s="21"/>
    </row>
    <row r="51" spans="2:6" s="2" customFormat="1" x14ac:dyDescent="0.25">
      <c r="B51" s="19" t="s">
        <v>73</v>
      </c>
      <c r="C51" s="23"/>
      <c r="D51" s="23"/>
      <c r="E51" s="23"/>
      <c r="F51" s="26">
        <v>0.25</v>
      </c>
    </row>
    <row r="52" spans="2:6" s="2" customFormat="1" ht="12" customHeight="1" x14ac:dyDescent="0.25">
      <c r="B52" s="14"/>
      <c r="C52" s="14"/>
      <c r="D52" s="14"/>
      <c r="E52" s="14"/>
      <c r="F52" s="24"/>
    </row>
    <row r="53" spans="2:6" s="2" customFormat="1" ht="15.75" x14ac:dyDescent="0.25">
      <c r="B53" s="41" t="s">
        <v>72</v>
      </c>
      <c r="C53" s="42"/>
      <c r="D53" s="42"/>
      <c r="E53" s="42"/>
      <c r="F53" s="43">
        <f>ROUND((F49*F51)+F49,2)</f>
        <v>7.11</v>
      </c>
    </row>
    <row r="55" spans="2:6" ht="15.75" x14ac:dyDescent="0.25">
      <c r="B55" s="56" t="s">
        <v>64</v>
      </c>
      <c r="C55" s="56"/>
      <c r="D55" s="56"/>
      <c r="E55" s="56"/>
      <c r="F55" s="40">
        <f>F15*F53</f>
        <v>7963.2000000000007</v>
      </c>
    </row>
  </sheetData>
  <mergeCells count="23">
    <mergeCell ref="B8:C8"/>
    <mergeCell ref="E8:F8"/>
    <mergeCell ref="B1:F1"/>
    <mergeCell ref="B2:F2"/>
    <mergeCell ref="B3:D3"/>
    <mergeCell ref="E3:F3"/>
    <mergeCell ref="B4:D4"/>
    <mergeCell ref="E4:F4"/>
    <mergeCell ref="B5:D5"/>
    <mergeCell ref="E5:F5"/>
    <mergeCell ref="B6:D6"/>
    <mergeCell ref="E6:F6"/>
    <mergeCell ref="B7:F7"/>
    <mergeCell ref="B55:E55"/>
    <mergeCell ref="B28:C28"/>
    <mergeCell ref="E28:F28"/>
    <mergeCell ref="E38:F38"/>
    <mergeCell ref="B9:F9"/>
    <mergeCell ref="B10:C10"/>
    <mergeCell ref="E10:F10"/>
    <mergeCell ref="B15:C15"/>
    <mergeCell ref="E18:F18"/>
    <mergeCell ref="B21:C21"/>
  </mergeCells>
  <pageMargins left="0.51181102362204722" right="0.51181102362204722" top="0.59055118110236249" bottom="0.59055118110236249" header="0.51181102362204722" footer="0.51181102362204722"/>
  <pageSetup paperSize="9" scale="94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6702-3A2E-45BF-9892-92528A0EBA20}">
  <dimension ref="B1:AMM55"/>
  <sheetViews>
    <sheetView workbookViewId="0">
      <selection activeCell="E6" sqref="E6:F6"/>
    </sheetView>
  </sheetViews>
  <sheetFormatPr defaultColWidth="9.140625" defaultRowHeight="15" x14ac:dyDescent="0.25"/>
  <cols>
    <col min="1" max="1" width="4" style="1" customWidth="1"/>
    <col min="2" max="2" width="30.42578125" style="2" customWidth="1"/>
    <col min="3" max="3" width="12.85546875" style="2" bestFit="1" customWidth="1"/>
    <col min="4" max="4" width="2.7109375" style="2" customWidth="1"/>
    <col min="5" max="5" width="32.85546875" style="2" customWidth="1"/>
    <col min="6" max="6" width="13.5703125" style="2" bestFit="1" customWidth="1"/>
    <col min="7" max="1027" width="9.140625" style="2" customWidth="1"/>
    <col min="1028" max="16384" width="9.140625" style="1"/>
  </cols>
  <sheetData>
    <row r="1" spans="2:6" ht="23.25" x14ac:dyDescent="0.25">
      <c r="B1" s="61" t="s">
        <v>70</v>
      </c>
      <c r="C1" s="61"/>
      <c r="D1" s="61"/>
      <c r="E1" s="61"/>
      <c r="F1" s="61"/>
    </row>
    <row r="2" spans="2:6" ht="12" customHeight="1" x14ac:dyDescent="0.25">
      <c r="B2" s="62"/>
      <c r="C2" s="63"/>
      <c r="D2" s="63"/>
      <c r="E2" s="63"/>
      <c r="F2" s="64"/>
    </row>
    <row r="3" spans="2:6" ht="18.75" x14ac:dyDescent="0.25">
      <c r="B3" s="65" t="s">
        <v>0</v>
      </c>
      <c r="C3" s="66"/>
      <c r="D3" s="67"/>
      <c r="E3" s="75">
        <v>12</v>
      </c>
      <c r="F3" s="76"/>
    </row>
    <row r="4" spans="2:6" ht="18.75" x14ac:dyDescent="0.25">
      <c r="B4" s="65" t="s">
        <v>45</v>
      </c>
      <c r="C4" s="66"/>
      <c r="D4" s="67"/>
      <c r="E4" s="70" t="s">
        <v>69</v>
      </c>
      <c r="F4" s="71"/>
    </row>
    <row r="5" spans="2:6" ht="18.75" x14ac:dyDescent="0.25">
      <c r="B5" s="65" t="s">
        <v>63</v>
      </c>
      <c r="C5" s="66"/>
      <c r="D5" s="67"/>
      <c r="E5" s="68">
        <f>'Cálculo de km ano'!F7</f>
        <v>1733.3333333333333</v>
      </c>
      <c r="F5" s="69"/>
    </row>
    <row r="6" spans="2:6" ht="18" customHeight="1" x14ac:dyDescent="0.25">
      <c r="B6" s="72" t="s">
        <v>65</v>
      </c>
      <c r="C6" s="72"/>
      <c r="D6" s="72"/>
      <c r="E6" s="73" t="s">
        <v>61</v>
      </c>
      <c r="F6" s="73"/>
    </row>
    <row r="7" spans="2:6" ht="12" customHeight="1" x14ac:dyDescent="0.25">
      <c r="B7" s="74"/>
      <c r="C7" s="74"/>
      <c r="D7" s="74"/>
      <c r="E7" s="74"/>
      <c r="F7" s="74"/>
    </row>
    <row r="8" spans="2:6" ht="15.75" x14ac:dyDescent="0.25">
      <c r="B8" s="60" t="s">
        <v>1</v>
      </c>
      <c r="C8" s="60"/>
      <c r="D8" s="3"/>
      <c r="E8" s="60" t="s">
        <v>2</v>
      </c>
      <c r="F8" s="60"/>
    </row>
    <row r="9" spans="2:6" ht="15.75" x14ac:dyDescent="0.25">
      <c r="B9" s="59"/>
      <c r="C9" s="59"/>
      <c r="D9" s="59"/>
      <c r="E9" s="59"/>
      <c r="F9" s="59"/>
    </row>
    <row r="10" spans="2:6" x14ac:dyDescent="0.25">
      <c r="B10" s="57" t="s">
        <v>3</v>
      </c>
      <c r="C10" s="57"/>
      <c r="D10" s="4"/>
      <c r="E10" s="57" t="s">
        <v>4</v>
      </c>
      <c r="F10" s="57"/>
    </row>
    <row r="11" spans="2:6" x14ac:dyDescent="0.25">
      <c r="B11" s="5" t="s">
        <v>47</v>
      </c>
      <c r="C11" s="6">
        <v>6.39</v>
      </c>
      <c r="D11" s="7"/>
      <c r="E11" s="5" t="s">
        <v>52</v>
      </c>
      <c r="F11" s="6">
        <v>200000</v>
      </c>
    </row>
    <row r="12" spans="2:6" x14ac:dyDescent="0.25">
      <c r="B12" s="5" t="s">
        <v>5</v>
      </c>
      <c r="C12" s="27">
        <v>7</v>
      </c>
      <c r="D12" s="9"/>
      <c r="E12" s="5" t="s">
        <v>6</v>
      </c>
      <c r="F12" s="10">
        <v>7</v>
      </c>
    </row>
    <row r="13" spans="2:6" x14ac:dyDescent="0.25">
      <c r="B13" s="11" t="s">
        <v>7</v>
      </c>
      <c r="C13" s="12">
        <f>C11/C12</f>
        <v>0.91285714285714281</v>
      </c>
      <c r="D13" s="13"/>
      <c r="E13" s="5" t="s">
        <v>8</v>
      </c>
      <c r="F13" s="6">
        <f>F11/100*F12</f>
        <v>14000</v>
      </c>
    </row>
    <row r="14" spans="2:6" x14ac:dyDescent="0.25">
      <c r="B14" s="14"/>
      <c r="C14" s="15"/>
      <c r="D14" s="15"/>
      <c r="E14" s="5" t="s">
        <v>9</v>
      </c>
      <c r="F14" s="6">
        <f>F13/12</f>
        <v>1166.6666666666667</v>
      </c>
    </row>
    <row r="15" spans="2:6" x14ac:dyDescent="0.25">
      <c r="B15" s="57" t="s">
        <v>10</v>
      </c>
      <c r="C15" s="57"/>
      <c r="D15" s="4"/>
      <c r="E15" s="5" t="s">
        <v>11</v>
      </c>
      <c r="F15" s="8">
        <f>E5</f>
        <v>1733.3333333333333</v>
      </c>
    </row>
    <row r="16" spans="2:6" x14ac:dyDescent="0.25">
      <c r="B16" s="5" t="s">
        <v>12</v>
      </c>
      <c r="C16" s="6">
        <v>35</v>
      </c>
      <c r="D16" s="7"/>
      <c r="E16" s="11" t="s">
        <v>13</v>
      </c>
      <c r="F16" s="12">
        <f>F14/F15</f>
        <v>0.67307692307692313</v>
      </c>
    </row>
    <row r="17" spans="2:6" x14ac:dyDescent="0.25">
      <c r="B17" s="5" t="s">
        <v>46</v>
      </c>
      <c r="C17" s="6">
        <f>C16*12</f>
        <v>420</v>
      </c>
      <c r="D17" s="7"/>
    </row>
    <row r="18" spans="2:6" x14ac:dyDescent="0.25">
      <c r="B18" s="5" t="s">
        <v>14</v>
      </c>
      <c r="C18" s="8">
        <v>10000</v>
      </c>
      <c r="D18" s="16"/>
      <c r="E18" s="57" t="s">
        <v>15</v>
      </c>
      <c r="F18" s="57"/>
    </row>
    <row r="19" spans="2:6" x14ac:dyDescent="0.25">
      <c r="B19" s="11" t="s">
        <v>16</v>
      </c>
      <c r="C19" s="12">
        <f>C17/C18</f>
        <v>4.2000000000000003E-2</v>
      </c>
      <c r="D19" s="13"/>
      <c r="E19" s="5" t="s">
        <v>17</v>
      </c>
      <c r="F19" s="6">
        <v>2094.65</v>
      </c>
    </row>
    <row r="20" spans="2:6" x14ac:dyDescent="0.25">
      <c r="E20" s="5" t="s">
        <v>18</v>
      </c>
      <c r="F20" s="6">
        <f>F19/12</f>
        <v>174.55416666666667</v>
      </c>
    </row>
    <row r="21" spans="2:6" x14ac:dyDescent="0.25">
      <c r="B21" s="57" t="s">
        <v>19</v>
      </c>
      <c r="C21" s="57"/>
      <c r="D21" s="4"/>
      <c r="E21" s="5" t="s">
        <v>20</v>
      </c>
      <c r="F21" s="6">
        <f>F19/12</f>
        <v>174.55416666666667</v>
      </c>
    </row>
    <row r="22" spans="2:6" x14ac:dyDescent="0.25">
      <c r="B22" s="5" t="s">
        <v>21</v>
      </c>
      <c r="C22" s="6">
        <v>1100</v>
      </c>
      <c r="D22" s="7"/>
      <c r="E22" s="5" t="s">
        <v>22</v>
      </c>
      <c r="F22" s="6">
        <f>F21/3</f>
        <v>58.184722222222227</v>
      </c>
    </row>
    <row r="23" spans="2:6" x14ac:dyDescent="0.25">
      <c r="B23" s="5" t="s">
        <v>23</v>
      </c>
      <c r="C23" s="10">
        <v>4</v>
      </c>
      <c r="D23" s="16"/>
      <c r="E23" s="5" t="s">
        <v>24</v>
      </c>
      <c r="F23" s="6">
        <f>F19*0.08</f>
        <v>167.572</v>
      </c>
    </row>
    <row r="24" spans="2:6" x14ac:dyDescent="0.25">
      <c r="B24" s="5" t="s">
        <v>25</v>
      </c>
      <c r="C24" s="6">
        <f>C22*C23</f>
        <v>4400</v>
      </c>
      <c r="D24" s="7"/>
      <c r="E24" s="5" t="s">
        <v>26</v>
      </c>
      <c r="F24" s="6">
        <f>F19*0.21</f>
        <v>439.87650000000002</v>
      </c>
    </row>
    <row r="25" spans="2:6" x14ac:dyDescent="0.25">
      <c r="B25" s="5" t="s">
        <v>27</v>
      </c>
      <c r="C25" s="8">
        <v>30000</v>
      </c>
      <c r="D25" s="9"/>
      <c r="E25" s="5" t="s">
        <v>28</v>
      </c>
      <c r="F25" s="6">
        <f>F19+F20+F21+F22+F23+F24</f>
        <v>3109.3915555555559</v>
      </c>
    </row>
    <row r="26" spans="2:6" x14ac:dyDescent="0.25">
      <c r="B26" s="11" t="s">
        <v>29</v>
      </c>
      <c r="C26" s="12">
        <f>C24/C25</f>
        <v>0.14666666666666667</v>
      </c>
      <c r="D26" s="13"/>
      <c r="E26" s="11" t="s">
        <v>30</v>
      </c>
      <c r="F26" s="12">
        <f>F25/F15</f>
        <v>1.7938797435897438</v>
      </c>
    </row>
    <row r="28" spans="2:6" x14ac:dyDescent="0.25">
      <c r="B28" s="57" t="s">
        <v>31</v>
      </c>
      <c r="C28" s="57"/>
      <c r="D28" s="4"/>
      <c r="E28" s="58" t="s">
        <v>32</v>
      </c>
      <c r="F28" s="58"/>
    </row>
    <row r="29" spans="2:6" x14ac:dyDescent="0.25">
      <c r="B29" s="5" t="s">
        <v>33</v>
      </c>
      <c r="C29" s="6">
        <v>500</v>
      </c>
      <c r="D29" s="7"/>
      <c r="E29" s="45" t="s">
        <v>48</v>
      </c>
      <c r="F29" s="46">
        <v>0</v>
      </c>
    </row>
    <row r="30" spans="2:6" x14ac:dyDescent="0.25">
      <c r="B30" s="11" t="s">
        <v>34</v>
      </c>
      <c r="C30" s="12">
        <f>C29/F15</f>
        <v>0.28846153846153849</v>
      </c>
      <c r="D30" s="13"/>
      <c r="E30" s="45" t="s">
        <v>18</v>
      </c>
      <c r="F30" s="46">
        <f>F29/12</f>
        <v>0</v>
      </c>
    </row>
    <row r="31" spans="2:6" x14ac:dyDescent="0.25">
      <c r="B31" s="14"/>
      <c r="C31" s="15"/>
      <c r="D31" s="15"/>
      <c r="E31" s="45" t="s">
        <v>20</v>
      </c>
      <c r="F31" s="46">
        <f>F29/12</f>
        <v>0</v>
      </c>
    </row>
    <row r="32" spans="2:6" x14ac:dyDescent="0.25">
      <c r="B32" s="14"/>
      <c r="C32" s="15"/>
      <c r="D32" s="15"/>
      <c r="E32" s="45" t="s">
        <v>22</v>
      </c>
      <c r="F32" s="46">
        <f>F31/3</f>
        <v>0</v>
      </c>
    </row>
    <row r="33" spans="2:6" x14ac:dyDescent="0.25">
      <c r="B33" s="14"/>
      <c r="C33" s="15"/>
      <c r="D33" s="15"/>
      <c r="E33" s="45" t="s">
        <v>24</v>
      </c>
      <c r="F33" s="46">
        <f>F29*0.08</f>
        <v>0</v>
      </c>
    </row>
    <row r="34" spans="2:6" x14ac:dyDescent="0.25">
      <c r="B34" s="14"/>
      <c r="C34" s="15"/>
      <c r="D34" s="15"/>
      <c r="E34" s="45" t="s">
        <v>26</v>
      </c>
      <c r="F34" s="46">
        <f>F29*0.2</f>
        <v>0</v>
      </c>
    </row>
    <row r="35" spans="2:6" x14ac:dyDescent="0.25">
      <c r="B35" s="14"/>
      <c r="C35" s="15"/>
      <c r="D35" s="15"/>
      <c r="E35" s="45" t="s">
        <v>28</v>
      </c>
      <c r="F35" s="46">
        <f>SUM(F29:F34)</f>
        <v>0</v>
      </c>
    </row>
    <row r="36" spans="2:6" x14ac:dyDescent="0.25">
      <c r="B36" s="14"/>
      <c r="C36" s="15"/>
      <c r="D36" s="15"/>
      <c r="E36" s="47" t="s">
        <v>35</v>
      </c>
      <c r="F36" s="48">
        <f>F35/F15</f>
        <v>0</v>
      </c>
    </row>
    <row r="37" spans="2:6" x14ac:dyDescent="0.25">
      <c r="B37" s="14"/>
      <c r="C37" s="15"/>
      <c r="D37" s="15"/>
      <c r="E37" s="14"/>
      <c r="F37" s="17"/>
    </row>
    <row r="38" spans="2:6" x14ac:dyDescent="0.25">
      <c r="B38" s="14"/>
      <c r="C38" s="15"/>
      <c r="D38" s="15"/>
      <c r="E38" s="57" t="s">
        <v>71</v>
      </c>
      <c r="F38" s="57"/>
    </row>
    <row r="39" spans="2:6" x14ac:dyDescent="0.25">
      <c r="B39" s="14"/>
      <c r="C39" s="18"/>
      <c r="D39" s="18"/>
      <c r="E39" s="45" t="s">
        <v>36</v>
      </c>
      <c r="F39" s="49">
        <v>0</v>
      </c>
    </row>
    <row r="40" spans="2:6" x14ac:dyDescent="0.25">
      <c r="E40" s="5" t="s">
        <v>37</v>
      </c>
      <c r="F40" s="6">
        <v>300</v>
      </c>
    </row>
    <row r="41" spans="2:6" x14ac:dyDescent="0.25">
      <c r="E41" s="5" t="s">
        <v>38</v>
      </c>
      <c r="F41" s="6">
        <v>40</v>
      </c>
    </row>
    <row r="42" spans="2:6" s="2" customFormat="1" ht="12.75" x14ac:dyDescent="0.25">
      <c r="E42" s="5" t="s">
        <v>66</v>
      </c>
      <c r="F42" s="6">
        <v>285</v>
      </c>
    </row>
    <row r="43" spans="2:6" s="2" customFormat="1" ht="12.75" x14ac:dyDescent="0.25">
      <c r="E43" s="5" t="s">
        <v>39</v>
      </c>
      <c r="F43" s="6">
        <v>150</v>
      </c>
    </row>
    <row r="44" spans="2:6" s="2" customFormat="1" ht="12.75" x14ac:dyDescent="0.25">
      <c r="E44" s="5" t="s">
        <v>40</v>
      </c>
      <c r="F44" s="6">
        <f>SUM(F39:F43)</f>
        <v>775</v>
      </c>
    </row>
    <row r="45" spans="2:6" s="2" customFormat="1" ht="12.75" x14ac:dyDescent="0.25">
      <c r="E45" s="11" t="s">
        <v>41</v>
      </c>
      <c r="F45" s="12">
        <f>F44/F15</f>
        <v>0.44711538461538464</v>
      </c>
    </row>
    <row r="46" spans="2:6" s="2" customFormat="1" ht="12.75" x14ac:dyDescent="0.25">
      <c r="E46" s="14"/>
      <c r="F46" s="13"/>
    </row>
    <row r="47" spans="2:6" s="2" customFormat="1" x14ac:dyDescent="0.25">
      <c r="B47" s="19" t="s">
        <v>42</v>
      </c>
      <c r="C47" s="20">
        <f>C26+C19+C13+C30</f>
        <v>1.3899853479853481</v>
      </c>
      <c r="D47" s="21"/>
      <c r="E47" s="19" t="s">
        <v>43</v>
      </c>
      <c r="F47" s="20">
        <f>F45+F26+F16+F36</f>
        <v>2.9140720512820515</v>
      </c>
    </row>
    <row r="48" spans="2:6" s="2" customFormat="1" ht="12" customHeight="1" x14ac:dyDescent="0.25">
      <c r="B48" s="22"/>
      <c r="C48" s="21"/>
      <c r="D48" s="21"/>
      <c r="E48" s="22"/>
      <c r="F48" s="21"/>
    </row>
    <row r="49" spans="2:6" s="2" customFormat="1" x14ac:dyDescent="0.25">
      <c r="B49" s="19" t="s">
        <v>44</v>
      </c>
      <c r="C49" s="23"/>
      <c r="D49" s="23"/>
      <c r="E49" s="23"/>
      <c r="F49" s="25">
        <f>F47+C47</f>
        <v>4.3040573992673998</v>
      </c>
    </row>
    <row r="50" spans="2:6" s="2" customFormat="1" ht="12" customHeight="1" x14ac:dyDescent="0.25">
      <c r="B50" s="22"/>
      <c r="C50" s="22"/>
      <c r="D50" s="22"/>
      <c r="E50" s="22"/>
      <c r="F50" s="21"/>
    </row>
    <row r="51" spans="2:6" s="2" customFormat="1" x14ac:dyDescent="0.25">
      <c r="B51" s="19" t="s">
        <v>73</v>
      </c>
      <c r="C51" s="23"/>
      <c r="D51" s="23"/>
      <c r="E51" s="23"/>
      <c r="F51" s="26">
        <v>0.25</v>
      </c>
    </row>
    <row r="52" spans="2:6" s="2" customFormat="1" ht="12" customHeight="1" x14ac:dyDescent="0.25">
      <c r="B52" s="14"/>
      <c r="C52" s="14"/>
      <c r="D52" s="14"/>
      <c r="E52" s="14"/>
      <c r="F52" s="24"/>
    </row>
    <row r="53" spans="2:6" s="2" customFormat="1" ht="15.75" x14ac:dyDescent="0.25">
      <c r="B53" s="41" t="s">
        <v>72</v>
      </c>
      <c r="C53" s="42"/>
      <c r="D53" s="42"/>
      <c r="E53" s="42"/>
      <c r="F53" s="43">
        <f>ROUND((F49*F51)+F49,2)</f>
        <v>5.38</v>
      </c>
    </row>
    <row r="55" spans="2:6" ht="15.75" x14ac:dyDescent="0.25">
      <c r="B55" s="56" t="s">
        <v>64</v>
      </c>
      <c r="C55" s="56"/>
      <c r="D55" s="56"/>
      <c r="E55" s="56"/>
      <c r="F55" s="40">
        <f>F15*F53</f>
        <v>9325.3333333333321</v>
      </c>
    </row>
  </sheetData>
  <mergeCells count="23">
    <mergeCell ref="B8:C8"/>
    <mergeCell ref="E8:F8"/>
    <mergeCell ref="B1:F1"/>
    <mergeCell ref="B2:F2"/>
    <mergeCell ref="B3:D3"/>
    <mergeCell ref="E3:F3"/>
    <mergeCell ref="B4:D4"/>
    <mergeCell ref="E4:F4"/>
    <mergeCell ref="B5:D5"/>
    <mergeCell ref="E5:F5"/>
    <mergeCell ref="B6:D6"/>
    <mergeCell ref="E6:F6"/>
    <mergeCell ref="B7:F7"/>
    <mergeCell ref="B55:E55"/>
    <mergeCell ref="B28:C28"/>
    <mergeCell ref="E28:F28"/>
    <mergeCell ref="E38:F38"/>
    <mergeCell ref="B9:F9"/>
    <mergeCell ref="B10:C10"/>
    <mergeCell ref="E10:F10"/>
    <mergeCell ref="B15:C15"/>
    <mergeCell ref="E18:F18"/>
    <mergeCell ref="B21:C21"/>
  </mergeCells>
  <pageMargins left="0.51181102362204722" right="0.51181102362204722" top="0.59055118110236249" bottom="0.59055118110236249" header="0.51181102362204722" footer="0.51181102362204722"/>
  <pageSetup paperSize="9" scale="94" firstPageNumber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3751A-15E3-42E2-89D3-EE6BC6AFA472}">
  <dimension ref="B1:AMM55"/>
  <sheetViews>
    <sheetView workbookViewId="0">
      <selection activeCell="E6" sqref="E6:F6"/>
    </sheetView>
  </sheetViews>
  <sheetFormatPr defaultColWidth="9.140625" defaultRowHeight="15" x14ac:dyDescent="0.25"/>
  <cols>
    <col min="1" max="1" width="4" style="1" customWidth="1"/>
    <col min="2" max="2" width="30.42578125" style="2" customWidth="1"/>
    <col min="3" max="3" width="12.85546875" style="2" bestFit="1" customWidth="1"/>
    <col min="4" max="4" width="2.7109375" style="2" customWidth="1"/>
    <col min="5" max="5" width="32.85546875" style="2" customWidth="1"/>
    <col min="6" max="6" width="13.5703125" style="2" bestFit="1" customWidth="1"/>
    <col min="7" max="1027" width="9.140625" style="2" customWidth="1"/>
    <col min="1028" max="16384" width="9.140625" style="1"/>
  </cols>
  <sheetData>
    <row r="1" spans="2:6" ht="23.25" x14ac:dyDescent="0.25">
      <c r="B1" s="61" t="s">
        <v>70</v>
      </c>
      <c r="C1" s="61"/>
      <c r="D1" s="61"/>
      <c r="E1" s="61"/>
      <c r="F1" s="61"/>
    </row>
    <row r="2" spans="2:6" ht="12" customHeight="1" x14ac:dyDescent="0.25">
      <c r="B2" s="62"/>
      <c r="C2" s="63"/>
      <c r="D2" s="63"/>
      <c r="E2" s="63"/>
      <c r="F2" s="64"/>
    </row>
    <row r="3" spans="2:6" ht="18.75" x14ac:dyDescent="0.25">
      <c r="B3" s="65" t="s">
        <v>0</v>
      </c>
      <c r="C3" s="66"/>
      <c r="D3" s="67"/>
      <c r="E3" s="75">
        <v>13</v>
      </c>
      <c r="F3" s="76"/>
    </row>
    <row r="4" spans="2:6" ht="18.75" x14ac:dyDescent="0.25">
      <c r="B4" s="65" t="s">
        <v>45</v>
      </c>
      <c r="C4" s="66"/>
      <c r="D4" s="67"/>
      <c r="E4" s="70" t="s">
        <v>60</v>
      </c>
      <c r="F4" s="71"/>
    </row>
    <row r="5" spans="2:6" ht="18.75" x14ac:dyDescent="0.25">
      <c r="B5" s="65" t="s">
        <v>63</v>
      </c>
      <c r="C5" s="66"/>
      <c r="D5" s="67"/>
      <c r="E5" s="68">
        <f>'Cálculo de km ano'!F8</f>
        <v>1546.6666666666667</v>
      </c>
      <c r="F5" s="69"/>
    </row>
    <row r="6" spans="2:6" ht="18" customHeight="1" x14ac:dyDescent="0.25">
      <c r="B6" s="72" t="s">
        <v>65</v>
      </c>
      <c r="C6" s="72"/>
      <c r="D6" s="72"/>
      <c r="E6" s="73" t="s">
        <v>62</v>
      </c>
      <c r="F6" s="73"/>
    </row>
    <row r="7" spans="2:6" ht="12" customHeight="1" x14ac:dyDescent="0.25">
      <c r="B7" s="74"/>
      <c r="C7" s="74"/>
      <c r="D7" s="74"/>
      <c r="E7" s="74"/>
      <c r="F7" s="74"/>
    </row>
    <row r="8" spans="2:6" ht="15.75" x14ac:dyDescent="0.25">
      <c r="B8" s="60" t="s">
        <v>1</v>
      </c>
      <c r="C8" s="60"/>
      <c r="D8" s="3"/>
      <c r="E8" s="60" t="s">
        <v>2</v>
      </c>
      <c r="F8" s="60"/>
    </row>
    <row r="9" spans="2:6" ht="15.75" x14ac:dyDescent="0.25">
      <c r="B9" s="59"/>
      <c r="C9" s="59"/>
      <c r="D9" s="59"/>
      <c r="E9" s="59"/>
      <c r="F9" s="59"/>
    </row>
    <row r="10" spans="2:6" x14ac:dyDescent="0.25">
      <c r="B10" s="57" t="s">
        <v>3</v>
      </c>
      <c r="C10" s="57"/>
      <c r="D10" s="4"/>
      <c r="E10" s="57" t="s">
        <v>4</v>
      </c>
      <c r="F10" s="57"/>
    </row>
    <row r="11" spans="2:6" x14ac:dyDescent="0.25">
      <c r="B11" s="5" t="s">
        <v>47</v>
      </c>
      <c r="C11" s="6">
        <v>6.39</v>
      </c>
      <c r="D11" s="7"/>
      <c r="E11" s="5" t="s">
        <v>52</v>
      </c>
      <c r="F11" s="6">
        <v>200000</v>
      </c>
    </row>
    <row r="12" spans="2:6" x14ac:dyDescent="0.25">
      <c r="B12" s="5" t="s">
        <v>5</v>
      </c>
      <c r="C12" s="27">
        <v>7</v>
      </c>
      <c r="D12" s="9"/>
      <c r="E12" s="5" t="s">
        <v>6</v>
      </c>
      <c r="F12" s="10">
        <v>7</v>
      </c>
    </row>
    <row r="13" spans="2:6" x14ac:dyDescent="0.25">
      <c r="B13" s="11" t="s">
        <v>7</v>
      </c>
      <c r="C13" s="12">
        <f>C11/C12</f>
        <v>0.91285714285714281</v>
      </c>
      <c r="D13" s="13"/>
      <c r="E13" s="5" t="s">
        <v>8</v>
      </c>
      <c r="F13" s="6">
        <f>F11/100*F12</f>
        <v>14000</v>
      </c>
    </row>
    <row r="14" spans="2:6" x14ac:dyDescent="0.25">
      <c r="B14" s="14"/>
      <c r="C14" s="15"/>
      <c r="D14" s="15"/>
      <c r="E14" s="5" t="s">
        <v>9</v>
      </c>
      <c r="F14" s="6">
        <f>F13/12</f>
        <v>1166.6666666666667</v>
      </c>
    </row>
    <row r="15" spans="2:6" x14ac:dyDescent="0.25">
      <c r="B15" s="57" t="s">
        <v>10</v>
      </c>
      <c r="C15" s="57"/>
      <c r="D15" s="4"/>
      <c r="E15" s="5" t="s">
        <v>11</v>
      </c>
      <c r="F15" s="8">
        <f>E5</f>
        <v>1546.6666666666667</v>
      </c>
    </row>
    <row r="16" spans="2:6" x14ac:dyDescent="0.25">
      <c r="B16" s="5" t="s">
        <v>12</v>
      </c>
      <c r="C16" s="6">
        <v>35</v>
      </c>
      <c r="D16" s="7"/>
      <c r="E16" s="11" t="s">
        <v>13</v>
      </c>
      <c r="F16" s="12">
        <f>F14/F15</f>
        <v>0.75431034482758619</v>
      </c>
    </row>
    <row r="17" spans="2:6" x14ac:dyDescent="0.25">
      <c r="B17" s="5" t="s">
        <v>46</v>
      </c>
      <c r="C17" s="6">
        <f>C16*12</f>
        <v>420</v>
      </c>
      <c r="D17" s="7"/>
    </row>
    <row r="18" spans="2:6" x14ac:dyDescent="0.25">
      <c r="B18" s="5" t="s">
        <v>14</v>
      </c>
      <c r="C18" s="8">
        <v>10000</v>
      </c>
      <c r="D18" s="16"/>
      <c r="E18" s="57" t="s">
        <v>15</v>
      </c>
      <c r="F18" s="57"/>
    </row>
    <row r="19" spans="2:6" x14ac:dyDescent="0.25">
      <c r="B19" s="11" t="s">
        <v>16</v>
      </c>
      <c r="C19" s="12">
        <f>C17/C18</f>
        <v>4.2000000000000003E-2</v>
      </c>
      <c r="D19" s="13"/>
      <c r="E19" s="5" t="s">
        <v>17</v>
      </c>
      <c r="F19" s="6">
        <v>2094.65</v>
      </c>
    </row>
    <row r="20" spans="2:6" x14ac:dyDescent="0.25">
      <c r="E20" s="5" t="s">
        <v>18</v>
      </c>
      <c r="F20" s="6">
        <f>F19/12</f>
        <v>174.55416666666667</v>
      </c>
    </row>
    <row r="21" spans="2:6" x14ac:dyDescent="0.25">
      <c r="B21" s="57" t="s">
        <v>19</v>
      </c>
      <c r="C21" s="57"/>
      <c r="D21" s="4"/>
      <c r="E21" s="5" t="s">
        <v>20</v>
      </c>
      <c r="F21" s="6">
        <f>F19/12</f>
        <v>174.55416666666667</v>
      </c>
    </row>
    <row r="22" spans="2:6" x14ac:dyDescent="0.25">
      <c r="B22" s="5" t="s">
        <v>21</v>
      </c>
      <c r="C22" s="6">
        <v>1100</v>
      </c>
      <c r="D22" s="7"/>
      <c r="E22" s="5" t="s">
        <v>22</v>
      </c>
      <c r="F22" s="6">
        <f>F21/3</f>
        <v>58.184722222222227</v>
      </c>
    </row>
    <row r="23" spans="2:6" x14ac:dyDescent="0.25">
      <c r="B23" s="5" t="s">
        <v>23</v>
      </c>
      <c r="C23" s="10">
        <v>4</v>
      </c>
      <c r="D23" s="16"/>
      <c r="E23" s="5" t="s">
        <v>24</v>
      </c>
      <c r="F23" s="6">
        <f>F19*0.08</f>
        <v>167.572</v>
      </c>
    </row>
    <row r="24" spans="2:6" x14ac:dyDescent="0.25">
      <c r="B24" s="5" t="s">
        <v>25</v>
      </c>
      <c r="C24" s="6">
        <f>C22*C23</f>
        <v>4400</v>
      </c>
      <c r="D24" s="7"/>
      <c r="E24" s="5" t="s">
        <v>26</v>
      </c>
      <c r="F24" s="6">
        <f>F19*0.21</f>
        <v>439.87650000000002</v>
      </c>
    </row>
    <row r="25" spans="2:6" x14ac:dyDescent="0.25">
      <c r="B25" s="5" t="s">
        <v>27</v>
      </c>
      <c r="C25" s="8">
        <v>30000</v>
      </c>
      <c r="D25" s="9"/>
      <c r="E25" s="5" t="s">
        <v>28</v>
      </c>
      <c r="F25" s="6">
        <f>F19+F20+F21+F22+F23+F24</f>
        <v>3109.3915555555559</v>
      </c>
    </row>
    <row r="26" spans="2:6" x14ac:dyDescent="0.25">
      <c r="B26" s="11" t="s">
        <v>29</v>
      </c>
      <c r="C26" s="12">
        <f>C24/C25</f>
        <v>0.14666666666666667</v>
      </c>
      <c r="D26" s="13"/>
      <c r="E26" s="11" t="s">
        <v>30</v>
      </c>
      <c r="F26" s="12">
        <f>F25/F15</f>
        <v>2.0103824712643679</v>
      </c>
    </row>
    <row r="28" spans="2:6" x14ac:dyDescent="0.25">
      <c r="B28" s="57" t="s">
        <v>31</v>
      </c>
      <c r="C28" s="57"/>
      <c r="D28" s="4"/>
      <c r="E28" s="58" t="s">
        <v>32</v>
      </c>
      <c r="F28" s="58"/>
    </row>
    <row r="29" spans="2:6" x14ac:dyDescent="0.25">
      <c r="B29" s="5" t="s">
        <v>33</v>
      </c>
      <c r="C29" s="6">
        <v>500</v>
      </c>
      <c r="D29" s="7"/>
      <c r="E29" s="45" t="s">
        <v>48</v>
      </c>
      <c r="F29" s="46">
        <v>0</v>
      </c>
    </row>
    <row r="30" spans="2:6" x14ac:dyDescent="0.25">
      <c r="B30" s="11" t="s">
        <v>34</v>
      </c>
      <c r="C30" s="12">
        <f>C29/F15</f>
        <v>0.32327586206896552</v>
      </c>
      <c r="D30" s="13"/>
      <c r="E30" s="45" t="s">
        <v>18</v>
      </c>
      <c r="F30" s="46">
        <f>F29/12</f>
        <v>0</v>
      </c>
    </row>
    <row r="31" spans="2:6" x14ac:dyDescent="0.25">
      <c r="B31" s="14"/>
      <c r="C31" s="15"/>
      <c r="D31" s="15"/>
      <c r="E31" s="45" t="s">
        <v>20</v>
      </c>
      <c r="F31" s="46">
        <f>F29/12</f>
        <v>0</v>
      </c>
    </row>
    <row r="32" spans="2:6" x14ac:dyDescent="0.25">
      <c r="B32" s="14"/>
      <c r="C32" s="15"/>
      <c r="D32" s="15"/>
      <c r="E32" s="45" t="s">
        <v>22</v>
      </c>
      <c r="F32" s="46">
        <f>F31/3</f>
        <v>0</v>
      </c>
    </row>
    <row r="33" spans="2:6" x14ac:dyDescent="0.25">
      <c r="B33" s="14"/>
      <c r="C33" s="15"/>
      <c r="D33" s="15"/>
      <c r="E33" s="45" t="s">
        <v>24</v>
      </c>
      <c r="F33" s="46">
        <f>F29*0.08</f>
        <v>0</v>
      </c>
    </row>
    <row r="34" spans="2:6" x14ac:dyDescent="0.25">
      <c r="B34" s="14"/>
      <c r="C34" s="15"/>
      <c r="D34" s="15"/>
      <c r="E34" s="45" t="s">
        <v>26</v>
      </c>
      <c r="F34" s="46">
        <f>F29*0.2</f>
        <v>0</v>
      </c>
    </row>
    <row r="35" spans="2:6" x14ac:dyDescent="0.25">
      <c r="B35" s="14"/>
      <c r="C35" s="15"/>
      <c r="D35" s="15"/>
      <c r="E35" s="45" t="s">
        <v>28</v>
      </c>
      <c r="F35" s="46">
        <f>SUM(F29:F34)</f>
        <v>0</v>
      </c>
    </row>
    <row r="36" spans="2:6" x14ac:dyDescent="0.25">
      <c r="B36" s="14"/>
      <c r="C36" s="15"/>
      <c r="D36" s="15"/>
      <c r="E36" s="47" t="s">
        <v>35</v>
      </c>
      <c r="F36" s="48">
        <f>F35/F15</f>
        <v>0</v>
      </c>
    </row>
    <row r="37" spans="2:6" x14ac:dyDescent="0.25">
      <c r="B37" s="14"/>
      <c r="C37" s="15"/>
      <c r="D37" s="15"/>
      <c r="E37" s="14"/>
      <c r="F37" s="17"/>
    </row>
    <row r="38" spans="2:6" x14ac:dyDescent="0.25">
      <c r="B38" s="14"/>
      <c r="C38" s="15"/>
      <c r="D38" s="15"/>
      <c r="E38" s="57" t="s">
        <v>71</v>
      </c>
      <c r="F38" s="57"/>
    </row>
    <row r="39" spans="2:6" x14ac:dyDescent="0.25">
      <c r="B39" s="14"/>
      <c r="C39" s="18"/>
      <c r="D39" s="18"/>
      <c r="E39" s="45" t="s">
        <v>36</v>
      </c>
      <c r="F39" s="49">
        <v>0</v>
      </c>
    </row>
    <row r="40" spans="2:6" x14ac:dyDescent="0.25">
      <c r="E40" s="5" t="s">
        <v>37</v>
      </c>
      <c r="F40" s="6">
        <v>300</v>
      </c>
    </row>
    <row r="41" spans="2:6" x14ac:dyDescent="0.25">
      <c r="E41" s="5" t="s">
        <v>38</v>
      </c>
      <c r="F41" s="6">
        <v>40</v>
      </c>
    </row>
    <row r="42" spans="2:6" s="2" customFormat="1" ht="12.75" x14ac:dyDescent="0.25">
      <c r="E42" s="5" t="s">
        <v>66</v>
      </c>
      <c r="F42" s="6">
        <v>285</v>
      </c>
    </row>
    <row r="43" spans="2:6" s="2" customFormat="1" ht="12.75" x14ac:dyDescent="0.25">
      <c r="E43" s="5" t="s">
        <v>39</v>
      </c>
      <c r="F43" s="6">
        <v>150</v>
      </c>
    </row>
    <row r="44" spans="2:6" s="2" customFormat="1" ht="12.75" x14ac:dyDescent="0.25">
      <c r="E44" s="5" t="s">
        <v>40</v>
      </c>
      <c r="F44" s="6">
        <f>SUM(F39:F43)</f>
        <v>775</v>
      </c>
    </row>
    <row r="45" spans="2:6" s="2" customFormat="1" ht="12.75" x14ac:dyDescent="0.25">
      <c r="E45" s="11" t="s">
        <v>41</v>
      </c>
      <c r="F45" s="12">
        <f>F44/F15</f>
        <v>0.50107758620689657</v>
      </c>
    </row>
    <row r="46" spans="2:6" s="2" customFormat="1" ht="12.75" x14ac:dyDescent="0.25">
      <c r="E46" s="14"/>
      <c r="F46" s="13"/>
    </row>
    <row r="47" spans="2:6" s="2" customFormat="1" x14ac:dyDescent="0.25">
      <c r="B47" s="19" t="s">
        <v>42</v>
      </c>
      <c r="C47" s="20">
        <f>C26+C19+C13+C30</f>
        <v>1.4247996715927751</v>
      </c>
      <c r="D47" s="21"/>
      <c r="E47" s="19" t="s">
        <v>43</v>
      </c>
      <c r="F47" s="20">
        <f>F45+F26+F16+F36</f>
        <v>3.265770402298851</v>
      </c>
    </row>
    <row r="48" spans="2:6" s="2" customFormat="1" ht="12" customHeight="1" x14ac:dyDescent="0.25">
      <c r="B48" s="22"/>
      <c r="C48" s="21"/>
      <c r="D48" s="21"/>
      <c r="E48" s="22"/>
      <c r="F48" s="21"/>
    </row>
    <row r="49" spans="2:6" s="2" customFormat="1" x14ac:dyDescent="0.25">
      <c r="B49" s="19" t="s">
        <v>44</v>
      </c>
      <c r="C49" s="23"/>
      <c r="D49" s="23"/>
      <c r="E49" s="23"/>
      <c r="F49" s="25">
        <f>F47+C47</f>
        <v>4.6905700738916263</v>
      </c>
    </row>
    <row r="50" spans="2:6" s="2" customFormat="1" ht="12" customHeight="1" x14ac:dyDescent="0.25">
      <c r="B50" s="22"/>
      <c r="C50" s="22"/>
      <c r="D50" s="22"/>
      <c r="E50" s="22"/>
      <c r="F50" s="21"/>
    </row>
    <row r="51" spans="2:6" s="2" customFormat="1" x14ac:dyDescent="0.25">
      <c r="B51" s="19" t="s">
        <v>73</v>
      </c>
      <c r="C51" s="23"/>
      <c r="D51" s="23"/>
      <c r="E51" s="23"/>
      <c r="F51" s="26">
        <v>0.25</v>
      </c>
    </row>
    <row r="52" spans="2:6" s="2" customFormat="1" ht="12" customHeight="1" x14ac:dyDescent="0.25">
      <c r="B52" s="14"/>
      <c r="C52" s="14"/>
      <c r="D52" s="14"/>
      <c r="E52" s="14"/>
      <c r="F52" s="24"/>
    </row>
    <row r="53" spans="2:6" s="2" customFormat="1" ht="15.75" x14ac:dyDescent="0.25">
      <c r="B53" s="41" t="s">
        <v>72</v>
      </c>
      <c r="C53" s="42"/>
      <c r="D53" s="42"/>
      <c r="E53" s="42"/>
      <c r="F53" s="43">
        <f>ROUND((F49*F51)+F49,2)</f>
        <v>5.86</v>
      </c>
    </row>
    <row r="55" spans="2:6" ht="15.75" x14ac:dyDescent="0.25">
      <c r="B55" s="56" t="s">
        <v>64</v>
      </c>
      <c r="C55" s="56"/>
      <c r="D55" s="56"/>
      <c r="E55" s="56"/>
      <c r="F55" s="40">
        <f>F15*F53</f>
        <v>9063.4666666666672</v>
      </c>
    </row>
  </sheetData>
  <mergeCells count="23">
    <mergeCell ref="B8:C8"/>
    <mergeCell ref="E8:F8"/>
    <mergeCell ref="B1:F1"/>
    <mergeCell ref="B2:F2"/>
    <mergeCell ref="B3:D3"/>
    <mergeCell ref="E3:F3"/>
    <mergeCell ref="B4:D4"/>
    <mergeCell ref="E4:F4"/>
    <mergeCell ref="B5:D5"/>
    <mergeCell ref="E5:F5"/>
    <mergeCell ref="B6:D6"/>
    <mergeCell ref="E6:F6"/>
    <mergeCell ref="B7:F7"/>
    <mergeCell ref="B55:E55"/>
    <mergeCell ref="B28:C28"/>
    <mergeCell ref="E28:F28"/>
    <mergeCell ref="E38:F38"/>
    <mergeCell ref="B9:F9"/>
    <mergeCell ref="B10:C10"/>
    <mergeCell ref="E10:F10"/>
    <mergeCell ref="B15:C15"/>
    <mergeCell ref="E18:F18"/>
    <mergeCell ref="B21:C21"/>
  </mergeCells>
  <pageMargins left="0.51181102362204722" right="0.51181102362204722" top="0.59055118110236249" bottom="0.59055118110236249" header="0.51181102362204722" footer="0.51181102362204722"/>
  <pageSetup paperSize="9" scale="94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5A2C4-0904-43B9-B4EB-DDBD7A14F616}">
  <dimension ref="B3:G8"/>
  <sheetViews>
    <sheetView workbookViewId="0">
      <selection activeCell="G8" sqref="G8"/>
    </sheetView>
  </sheetViews>
  <sheetFormatPr defaultRowHeight="15" x14ac:dyDescent="0.25"/>
  <cols>
    <col min="3" max="3" width="42.42578125" bestFit="1" customWidth="1"/>
    <col min="6" max="7" width="11.42578125" customWidth="1"/>
  </cols>
  <sheetData>
    <row r="3" spans="2:7" ht="15.75" x14ac:dyDescent="0.25">
      <c r="B3" s="77" t="s">
        <v>74</v>
      </c>
      <c r="C3" s="77"/>
      <c r="D3" s="77"/>
      <c r="E3" s="77"/>
      <c r="F3" s="77"/>
      <c r="G3" s="77"/>
    </row>
    <row r="4" spans="2:7" x14ac:dyDescent="0.25">
      <c r="B4" s="78"/>
      <c r="C4" s="78"/>
      <c r="D4" s="78"/>
      <c r="E4" s="78"/>
      <c r="F4" s="78"/>
      <c r="G4" s="78"/>
    </row>
    <row r="5" spans="2:7" ht="45" x14ac:dyDescent="0.25">
      <c r="B5" s="30" t="s">
        <v>49</v>
      </c>
      <c r="C5" s="31" t="s">
        <v>50</v>
      </c>
      <c r="D5" s="51" t="s">
        <v>75</v>
      </c>
      <c r="E5" s="51" t="s">
        <v>76</v>
      </c>
      <c r="F5" s="32" t="s">
        <v>77</v>
      </c>
      <c r="G5" s="33" t="s">
        <v>78</v>
      </c>
    </row>
    <row r="6" spans="2:7" x14ac:dyDescent="0.25">
      <c r="B6" s="39" t="str">
        <f>Coxilha!E6</f>
        <v>Linha 1</v>
      </c>
      <c r="C6" s="29" t="str">
        <f>Coxilha!E4</f>
        <v>Linha Fontana, Majolo, Coxilha, Posse, Cidade</v>
      </c>
      <c r="D6" s="52">
        <v>56</v>
      </c>
      <c r="E6" s="53">
        <v>6</v>
      </c>
      <c r="F6" s="54">
        <f>G6/12</f>
        <v>1120</v>
      </c>
      <c r="G6" s="55">
        <f>D6*200/5*E6</f>
        <v>13440</v>
      </c>
    </row>
    <row r="7" spans="2:7" x14ac:dyDescent="0.25">
      <c r="B7" s="39" t="str">
        <f>Fátima!E6</f>
        <v>Linha 2</v>
      </c>
      <c r="C7" s="29" t="str">
        <f>Fátima!E4</f>
        <v>Linha Fátima, Cidade</v>
      </c>
      <c r="D7" s="52">
        <v>52</v>
      </c>
      <c r="E7" s="53">
        <v>10</v>
      </c>
      <c r="F7" s="54">
        <f t="shared" ref="F7:F8" si="0">G7/12</f>
        <v>1733.3333333333333</v>
      </c>
      <c r="G7" s="55">
        <f t="shared" ref="G7:G8" si="1">D7*200/5*E7</f>
        <v>20800</v>
      </c>
    </row>
    <row r="8" spans="2:7" x14ac:dyDescent="0.25">
      <c r="B8" s="39" t="str">
        <f>S.Miguel!E6</f>
        <v>Linha 3</v>
      </c>
      <c r="C8" s="29" t="str">
        <f>S.Miguel!E4</f>
        <v>Linha Sbarain, Uru, São Miguel, Encruzilhada</v>
      </c>
      <c r="D8" s="52">
        <v>58</v>
      </c>
      <c r="E8" s="53">
        <v>8</v>
      </c>
      <c r="F8" s="54">
        <f t="shared" si="0"/>
        <v>1546.6666666666667</v>
      </c>
      <c r="G8" s="55">
        <f t="shared" si="1"/>
        <v>18560</v>
      </c>
    </row>
  </sheetData>
  <mergeCells count="2">
    <mergeCell ref="B3:G3"/>
    <mergeCell ref="B4:G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98E67-B59B-4CB5-B67D-19424167A5CA}">
  <dimension ref="B3:H11"/>
  <sheetViews>
    <sheetView tabSelected="1" workbookViewId="0">
      <selection activeCell="B3" sqref="B3:H3"/>
    </sheetView>
  </sheetViews>
  <sheetFormatPr defaultRowHeight="15" x14ac:dyDescent="0.25"/>
  <cols>
    <col min="2" max="2" width="10.5703125" customWidth="1"/>
    <col min="3" max="3" width="45" bestFit="1" customWidth="1"/>
    <col min="5" max="5" width="9.85546875" customWidth="1"/>
    <col min="6" max="6" width="12.85546875" customWidth="1"/>
    <col min="7" max="7" width="9.85546875" style="28" customWidth="1"/>
    <col min="8" max="8" width="14.28515625" customWidth="1"/>
  </cols>
  <sheetData>
    <row r="3" spans="2:8" ht="15.75" x14ac:dyDescent="0.25">
      <c r="B3" s="79" t="s">
        <v>58</v>
      </c>
      <c r="C3" s="80"/>
      <c r="D3" s="80"/>
      <c r="E3" s="80"/>
      <c r="F3" s="80"/>
      <c r="G3" s="80"/>
      <c r="H3" s="81"/>
    </row>
    <row r="4" spans="2:8" x14ac:dyDescent="0.25">
      <c r="B4" s="82"/>
      <c r="C4" s="83"/>
      <c r="D4" s="83"/>
      <c r="E4" s="83"/>
      <c r="F4" s="83"/>
      <c r="G4" s="83"/>
      <c r="H4" s="84"/>
    </row>
    <row r="5" spans="2:8" ht="30" customHeight="1" x14ac:dyDescent="0.25">
      <c r="B5" s="30" t="s">
        <v>49</v>
      </c>
      <c r="C5" s="31" t="s">
        <v>50</v>
      </c>
      <c r="D5" s="31" t="s">
        <v>53</v>
      </c>
      <c r="E5" s="31" t="s">
        <v>54</v>
      </c>
      <c r="F5" s="32" t="s">
        <v>55</v>
      </c>
      <c r="G5" s="33" t="s">
        <v>57</v>
      </c>
      <c r="H5" s="34" t="s">
        <v>56</v>
      </c>
    </row>
    <row r="6" spans="2:8" x14ac:dyDescent="0.25">
      <c r="B6" s="39" t="str">
        <f>Coxilha!E6</f>
        <v>Linha 1</v>
      </c>
      <c r="C6" s="29" t="str">
        <f>Coxilha!E4</f>
        <v>Linha Fontana, Majolo, Coxilha, Posse, Cidade</v>
      </c>
      <c r="D6" s="44">
        <f>Coxilha!E5</f>
        <v>1120</v>
      </c>
      <c r="E6" s="35">
        <f>Coxilha!F53</f>
        <v>7.11</v>
      </c>
      <c r="F6" s="36">
        <f t="shared" ref="F6:F8" si="0">D6*E6</f>
        <v>7963.2000000000007</v>
      </c>
      <c r="G6" s="50">
        <f t="shared" ref="G6:G8" si="1">D6*12</f>
        <v>13440</v>
      </c>
      <c r="H6" s="37">
        <f t="shared" ref="H6:H8" si="2">F6*12</f>
        <v>95558.400000000009</v>
      </c>
    </row>
    <row r="7" spans="2:8" x14ac:dyDescent="0.25">
      <c r="B7" s="39" t="str">
        <f>Fátima!E6</f>
        <v>Linha 2</v>
      </c>
      <c r="C7" s="29" t="str">
        <f>Fátima!E4</f>
        <v>Linha Fátima, Cidade</v>
      </c>
      <c r="D7" s="44">
        <f>Fátima!E5</f>
        <v>1733.3333333333333</v>
      </c>
      <c r="E7" s="35">
        <f>Fátima!F53</f>
        <v>5.38</v>
      </c>
      <c r="F7" s="36">
        <f t="shared" si="0"/>
        <v>9325.3333333333321</v>
      </c>
      <c r="G7" s="50">
        <f t="shared" si="1"/>
        <v>20800</v>
      </c>
      <c r="H7" s="37">
        <f t="shared" si="2"/>
        <v>111903.99999999999</v>
      </c>
    </row>
    <row r="8" spans="2:8" x14ac:dyDescent="0.25">
      <c r="B8" s="39" t="str">
        <f>S.Miguel!E6</f>
        <v>Linha 3</v>
      </c>
      <c r="C8" s="29" t="str">
        <f>S.Miguel!E4</f>
        <v>Linha Sbarain, Uru, São Miguel, Encruzilhada</v>
      </c>
      <c r="D8" s="44">
        <f>S.Miguel!E5</f>
        <v>1546.6666666666667</v>
      </c>
      <c r="E8" s="35">
        <f>S.Miguel!F53</f>
        <v>5.86</v>
      </c>
      <c r="F8" s="36">
        <f t="shared" si="0"/>
        <v>9063.4666666666672</v>
      </c>
      <c r="G8" s="50">
        <f t="shared" si="1"/>
        <v>18560</v>
      </c>
      <c r="H8" s="37">
        <f t="shared" si="2"/>
        <v>108761.60000000001</v>
      </c>
    </row>
    <row r="9" spans="2:8" x14ac:dyDescent="0.25">
      <c r="B9" s="85" t="s">
        <v>51</v>
      </c>
      <c r="C9" s="85"/>
      <c r="D9" s="85"/>
      <c r="E9" s="85"/>
      <c r="F9" s="85"/>
      <c r="G9" s="86"/>
      <c r="H9" s="38">
        <f>SUM(H6:H8)</f>
        <v>316224</v>
      </c>
    </row>
    <row r="11" spans="2:8" x14ac:dyDescent="0.25">
      <c r="H11" t="s">
        <v>59</v>
      </c>
    </row>
  </sheetData>
  <mergeCells count="3">
    <mergeCell ref="B3:H3"/>
    <mergeCell ref="B4:H4"/>
    <mergeCell ref="B9:G9"/>
  </mergeCells>
  <phoneticPr fontId="11" type="noConversion"/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Coxilha</vt:lpstr>
      <vt:lpstr>Fátima</vt:lpstr>
      <vt:lpstr>S.Miguel</vt:lpstr>
      <vt:lpstr>Cálculo de km ano</vt:lpstr>
      <vt:lpstr>Resumo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</dc:creator>
  <dc:description/>
  <cp:lastModifiedBy>User</cp:lastModifiedBy>
  <cp:revision>3</cp:revision>
  <cp:lastPrinted>2025-05-19T10:54:43Z</cp:lastPrinted>
  <dcterms:created xsi:type="dcterms:W3CDTF">2015-05-07T11:14:26Z</dcterms:created>
  <dcterms:modified xsi:type="dcterms:W3CDTF">2025-07-25T19:56:27Z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